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7815" windowHeight="8550" activeTab="0"/>
  </bookViews>
  <sheets>
    <sheet name="Фасовка " sheetId="1" r:id="rId1"/>
    <sheet name="Отчет о совместимости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<sst xmlns="http://schemas.openxmlformats.org/spreadsheetml/2006/main" count="93" uniqueCount="61">
  <si>
    <t>Наименование товара</t>
  </si>
  <si>
    <t>Норма отгрузки – упаковка, указанная *</t>
  </si>
  <si>
    <t>с НДС в руб.</t>
  </si>
  <si>
    <t xml:space="preserve">       Цена  за 1 т</t>
  </si>
  <si>
    <t xml:space="preserve">Гвозди  1,2х16;20;25  (300 гр.)  *30 </t>
  </si>
  <si>
    <t>Гвозди  1,4х25;32;40  (300 гр.)  *30</t>
  </si>
  <si>
    <t xml:space="preserve">Гвозди  1,0х16             (300 гр.)  *30 </t>
  </si>
  <si>
    <t xml:space="preserve">Гвозди  1,8х32;40        (300 гр.)  *30 </t>
  </si>
  <si>
    <t>Гвозди  2,0х40;50        (300 гр.)  *30</t>
  </si>
  <si>
    <t>Гвозди  2,5х50;60       (1000 гр.)  *15</t>
  </si>
  <si>
    <t xml:space="preserve">Гвозди  3,0х70;80       (1000 гр.)  *15 </t>
  </si>
  <si>
    <t xml:space="preserve">Гвозди  3,5х90            (1000 гр.)  *15 </t>
  </si>
  <si>
    <t xml:space="preserve">Гвозди  5,0х150          (1000 гр.)  *15 </t>
  </si>
  <si>
    <t>Гвозди  6,0х200          (1000 гр.)  *15</t>
  </si>
  <si>
    <t xml:space="preserve">Гвозди  4,0х100          (1000 гр.)  *15 </t>
  </si>
  <si>
    <t>Гвозди  4,0х120          (1000 гр.)  *18</t>
  </si>
  <si>
    <t>Гвозди  1,6х25             (150 гр.)  *54</t>
  </si>
  <si>
    <t xml:space="preserve">Гвозди  1,6х25;40        (300 гр.)  *30 </t>
  </si>
  <si>
    <t>БЕЗ НДС в руб.</t>
  </si>
  <si>
    <t>Гвозди  1,8х32;40        (150 гр.)  *54</t>
  </si>
  <si>
    <t>Гвозди  3,0х70             (500 гр.)  *30</t>
  </si>
  <si>
    <t xml:space="preserve">Гвозди  1,8х50;60        (300 гр.)  *30 </t>
  </si>
  <si>
    <t xml:space="preserve">Гвозди  1,6х50;60        (300 гр.)  *30 </t>
  </si>
  <si>
    <t xml:space="preserve">                                 Гвозди строительные ГОСТ 4028-63 расфасованные в цветные коробочки</t>
  </si>
  <si>
    <t xml:space="preserve">                                             Гвозди шиферные ТУ 14-177-38-99 расфасованные в цветные коробочки</t>
  </si>
  <si>
    <t xml:space="preserve">                                                                                                                         Гвозди с кольцевой накаткой ТТ 4-07-17-2002 расфасованные в цветные коробочки</t>
  </si>
  <si>
    <t xml:space="preserve">                                            Гвозди толевые ГОСТ 4029-63, расфасованные в цветные коробочки</t>
  </si>
  <si>
    <t xml:space="preserve">                                          Гвозди финишные ТУ 14-177-34-2001, расфасованные в цветные коробочки</t>
  </si>
  <si>
    <r>
      <t xml:space="preserve">Общество с Ограниченной Ответственностью </t>
    </r>
    <r>
      <rPr>
        <b/>
        <sz val="36"/>
        <color indexed="8"/>
        <rFont val="Times New Roman"/>
        <family val="1"/>
      </rPr>
      <t>"МОНАРХ"</t>
    </r>
  </si>
  <si>
    <t xml:space="preserve">                                       ГВОЗДИ ФАСОВАННЫЕ В ЦВЕТНЫЕ КОРОБОЧКИ</t>
  </si>
  <si>
    <t xml:space="preserve">                               701 Гвозди шиферные с оц.шляпкой  ТУ 14-177-38-99 расфасованные в цв. Коробочки</t>
  </si>
  <si>
    <t xml:space="preserve">701 Гвозди 4,0х120(100) (500 гр.)  </t>
  </si>
  <si>
    <t xml:space="preserve">Гвозди  4,0х100;120     (800 гр.)  </t>
  </si>
  <si>
    <t xml:space="preserve">Гвозди  3,4х70;90        (800 гр.)  </t>
  </si>
  <si>
    <t xml:space="preserve">Гвозди 2,0х20;25          (300 гр.)  </t>
  </si>
  <si>
    <t xml:space="preserve">Гвозди 2,5х32;40          (300 гр.) </t>
  </si>
  <si>
    <t xml:space="preserve">Гвозди 3,0х40               (300 гр.) </t>
  </si>
  <si>
    <t xml:space="preserve">Гвозди  2,0х40;50         (500 гр.) </t>
  </si>
  <si>
    <t xml:space="preserve">Гвозди  2,5х60              (500 гр.)  </t>
  </si>
  <si>
    <t xml:space="preserve">Цена одной коробочки </t>
  </si>
  <si>
    <t>Цена одной коробочки</t>
  </si>
  <si>
    <t>Цена одной упаковки</t>
  </si>
  <si>
    <t xml:space="preserve">Цена одной упаковки  </t>
  </si>
  <si>
    <t xml:space="preserve"> Цена одной  1 тн.</t>
  </si>
  <si>
    <t>Отчет о совместимости для Прайс фасовка Монарх  (апрель).xls</t>
  </si>
  <si>
    <t>Дата отчета: 26.04.2010 17:06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</si>
  <si>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</si>
  <si>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</si>
  <si>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</si>
  <si>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</si>
  <si>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'Фасовка '!R[7]C[18]:R[12]C[18]</t>
  </si>
  <si>
    <t>'Фасовка '!R[13]C[18]</t>
  </si>
  <si>
    <t>'Фасовка '!R[14]C[18]:R[22]C[18]</t>
  </si>
  <si>
    <t>'Фасовка '!R[23]C[18]</t>
  </si>
  <si>
    <t>'Фасовка '!R[24]C[18]</t>
  </si>
  <si>
    <t>'Фасовка '!R[25]C[18]:R[27]C[18]</t>
  </si>
  <si>
    <t>'Фасовка '!R[28]C[18]:R[29]C[18]</t>
  </si>
  <si>
    <t>'Фасовка '!R[30]C[18]</t>
  </si>
  <si>
    <t>ООО "МОНАРХ" Свердловская обл. г. Ревда ул. К.Либкнехта 55-12</t>
  </si>
  <si>
    <t xml:space="preserve">ПРАЙС ОТ 01.05.2010.                                                                                  тел. (34397)222-34, 89089133717   г.Ревда                </t>
  </si>
  <si>
    <t xml:space="preserve"> поставки по тел. (34397)35743,ф.222-34,89089133717 или e-mail: magnus_E@mail.ru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</si>
</sst>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 Cyr"/>
      <family val="0"/>
    </font>
    <font>
      <b/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15" applyFont="1" applyBorder="1">
      <alignment/>
      <protection/>
    </xf>
    <xf numFmtId="0" fontId="6" fillId="0" borderId="0" xfId="15" applyFont="1">
      <alignment/>
      <protection/>
    </xf>
    <xf numFmtId="0" fontId="4" fillId="0" borderId="10" xfId="15" applyFont="1" applyBorder="1">
      <alignment/>
      <protection/>
    </xf>
    <xf numFmtId="0" fontId="5" fillId="0" borderId="11" xfId="15" applyFont="1" applyBorder="1" applyAlignment="1">
      <alignment horizontal="left"/>
      <protection/>
    </xf>
    <xf numFmtId="0" fontId="3" fillId="0" borderId="12" xfId="15" applyFont="1" applyBorder="1">
      <alignment/>
      <protection/>
    </xf>
    <xf numFmtId="0" fontId="0" fillId="0" borderId="10" xfId="15" applyFont="1" applyBorder="1">
      <alignment/>
      <protection/>
    </xf>
    <xf numFmtId="44" fontId="7" fillId="0" borderId="13" xfId="44" applyFont="1" applyBorder="1" applyAlignment="1">
      <alignment/>
    </xf>
    <xf numFmtId="44" fontId="7" fillId="0" borderId="14" xfId="44" applyFont="1" applyBorder="1" applyAlignment="1">
      <alignment/>
    </xf>
    <xf numFmtId="44" fontId="7" fillId="0" borderId="15" xfId="44" applyFont="1" applyBorder="1" applyAlignment="1">
      <alignment/>
    </xf>
    <xf numFmtId="0" fontId="7" fillId="0" borderId="16" xfId="15" applyFont="1" applyBorder="1" applyAlignment="1">
      <alignment horizontal="center" vertical="top"/>
      <protection/>
    </xf>
    <xf numFmtId="44" fontId="6" fillId="0" borderId="14" xfId="15" applyNumberFormat="1" applyFont="1" applyBorder="1">
      <alignment/>
      <protection/>
    </xf>
    <xf numFmtId="44" fontId="6" fillId="0" borderId="13" xfId="15" applyNumberFormat="1" applyFont="1" applyBorder="1">
      <alignment/>
      <protection/>
    </xf>
    <xf numFmtId="44" fontId="6" fillId="0" borderId="15" xfId="15" applyNumberFormat="1" applyFont="1" applyBorder="1">
      <alignment/>
      <protection/>
    </xf>
    <xf numFmtId="44" fontId="6" fillId="0" borderId="17" xfId="15" applyNumberFormat="1" applyFont="1" applyBorder="1">
      <alignment/>
      <protection/>
    </xf>
    <xf numFmtId="0" fontId="6" fillId="0" borderId="14" xfId="15" applyFont="1" applyBorder="1">
      <alignment/>
      <protection/>
    </xf>
    <xf numFmtId="4" fontId="10" fillId="0" borderId="14" xfId="15" applyNumberFormat="1" applyFont="1" applyBorder="1">
      <alignment/>
      <protection/>
    </xf>
    <xf numFmtId="44" fontId="7" fillId="0" borderId="14" xfId="44" applyFont="1" applyBorder="1" applyAlignment="1">
      <alignment horizontal="center"/>
    </xf>
    <xf numFmtId="44" fontId="10" fillId="0" borderId="14" xfId="44" applyFont="1" applyBorder="1" applyAlignment="1">
      <alignment/>
    </xf>
    <xf numFmtId="0" fontId="11" fillId="0" borderId="18" xfId="15" applyFont="1" applyBorder="1" applyAlignment="1">
      <alignment horizontal="center"/>
      <protection/>
    </xf>
    <xf numFmtId="0" fontId="11" fillId="0" borderId="19" xfId="15" applyFont="1" applyBorder="1" applyAlignment="1">
      <alignment horizontal="center"/>
      <protection/>
    </xf>
    <xf numFmtId="0" fontId="11" fillId="0" borderId="18" xfId="15" applyFont="1" applyBorder="1" applyAlignment="1">
      <alignment horizontal="center" vertical="center" wrapText="1"/>
      <protection/>
    </xf>
    <xf numFmtId="0" fontId="6" fillId="0" borderId="15" xfId="15" applyFont="1" applyBorder="1">
      <alignment/>
      <protection/>
    </xf>
    <xf numFmtId="44" fontId="6" fillId="0" borderId="20" xfId="15" applyNumberFormat="1" applyFont="1" applyBorder="1">
      <alignment/>
      <protection/>
    </xf>
    <xf numFmtId="0" fontId="6" fillId="0" borderId="20" xfId="15" applyFont="1" applyBorder="1">
      <alignment/>
      <protection/>
    </xf>
    <xf numFmtId="4" fontId="10" fillId="0" borderId="20" xfId="15" applyNumberFormat="1" applyFont="1" applyBorder="1">
      <alignment/>
      <protection/>
    </xf>
    <xf numFmtId="44" fontId="7" fillId="0" borderId="20" xfId="44" applyFont="1" applyBorder="1" applyAlignment="1">
      <alignment/>
    </xf>
    <xf numFmtId="0" fontId="6" fillId="0" borderId="17" xfId="15" applyFont="1" applyBorder="1">
      <alignment/>
      <protection/>
    </xf>
    <xf numFmtId="4" fontId="10" fillId="0" borderId="17" xfId="15" applyNumberFormat="1" applyFont="1" applyBorder="1">
      <alignment/>
      <protection/>
    </xf>
    <xf numFmtId="44" fontId="7" fillId="0" borderId="17" xfId="44" applyFont="1" applyBorder="1" applyAlignment="1">
      <alignment/>
    </xf>
    <xf numFmtId="0" fontId="10" fillId="0" borderId="19" xfId="15" applyFont="1" applyBorder="1" applyAlignment="1">
      <alignment horizontal="center" vertical="center" wrapText="1"/>
      <protection/>
    </xf>
    <xf numFmtId="0" fontId="6" fillId="0" borderId="0" xfId="15" applyFont="1" applyBorder="1">
      <alignment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0" fillId="0" borderId="12" xfId="15" applyFont="1" applyBorder="1">
      <alignment/>
      <protection/>
    </xf>
    <xf numFmtId="0" fontId="6" fillId="0" borderId="13" xfId="15" applyFont="1" applyBorder="1">
      <alignment/>
      <protection/>
    </xf>
    <xf numFmtId="44" fontId="7" fillId="0" borderId="13" xfId="44" applyFont="1" applyBorder="1" applyAlignment="1">
      <alignment horizontal="center"/>
    </xf>
    <xf numFmtId="0" fontId="7" fillId="0" borderId="17" xfId="15" applyFont="1" applyBorder="1" applyAlignment="1">
      <alignment horizontal="center"/>
      <protection/>
    </xf>
    <xf numFmtId="0" fontId="6" fillId="0" borderId="12" xfId="15" applyFont="1" applyBorder="1">
      <alignment/>
      <protection/>
    </xf>
    <xf numFmtId="4" fontId="10" fillId="0" borderId="15" xfId="15" applyNumberFormat="1" applyFont="1" applyBorder="1">
      <alignment/>
      <protection/>
    </xf>
    <xf numFmtId="0" fontId="10" fillId="0" borderId="21" xfId="15" applyFont="1" applyBorder="1">
      <alignment/>
      <protection/>
    </xf>
    <xf numFmtId="44" fontId="7" fillId="0" borderId="22" xfId="44" applyFont="1" applyBorder="1" applyAlignment="1">
      <alignment/>
    </xf>
    <xf numFmtId="44" fontId="7" fillId="0" borderId="21" xfId="44" applyFont="1" applyBorder="1" applyAlignment="1">
      <alignment/>
    </xf>
    <xf numFmtId="4" fontId="10" fillId="0" borderId="13" xfId="15" applyNumberFormat="1" applyFont="1" applyBorder="1">
      <alignment/>
      <protection/>
    </xf>
    <xf numFmtId="44" fontId="7" fillId="0" borderId="23" xfId="44" applyFont="1" applyBorder="1" applyAlignment="1">
      <alignment/>
    </xf>
    <xf numFmtId="0" fontId="7" fillId="0" borderId="11" xfId="15" applyFont="1" applyBorder="1" applyAlignment="1">
      <alignment/>
      <protection/>
    </xf>
    <xf numFmtId="0" fontId="0" fillId="0" borderId="12" xfId="15" applyFont="1" applyBorder="1" applyAlignment="1">
      <alignment/>
      <protection/>
    </xf>
    <xf numFmtId="0" fontId="6" fillId="0" borderId="10" xfId="15" applyFont="1" applyBorder="1">
      <alignment/>
      <protection/>
    </xf>
    <xf numFmtId="0" fontId="6" fillId="0" borderId="24" xfId="15" applyFont="1" applyBorder="1">
      <alignment/>
      <protection/>
    </xf>
    <xf numFmtId="44" fontId="7" fillId="0" borderId="21" xfId="44" applyFont="1" applyBorder="1" applyAlignment="1">
      <alignment horizontal="left"/>
    </xf>
    <xf numFmtId="0" fontId="6" fillId="0" borderId="25" xfId="15" applyFont="1" applyBorder="1">
      <alignment/>
      <protection/>
    </xf>
    <xf numFmtId="2" fontId="6" fillId="0" borderId="15" xfId="15" applyNumberFormat="1" applyFont="1" applyBorder="1">
      <alignment/>
      <protection/>
    </xf>
    <xf numFmtId="0" fontId="6" fillId="0" borderId="26" xfId="15" applyFont="1" applyBorder="1">
      <alignment/>
      <protection/>
    </xf>
    <xf numFmtId="44" fontId="7" fillId="0" borderId="17" xfId="44" applyFont="1" applyBorder="1" applyAlignment="1">
      <alignment horizontal="center"/>
    </xf>
    <xf numFmtId="0" fontId="0" fillId="0" borderId="27" xfId="15" applyFont="1" applyBorder="1" applyAlignment="1">
      <alignment/>
      <protection/>
    </xf>
    <xf numFmtId="0" fontId="7" fillId="0" borderId="20" xfId="15" applyFont="1" applyBorder="1" applyAlignment="1">
      <alignment horizontal="center"/>
      <protection/>
    </xf>
    <xf numFmtId="0" fontId="6" fillId="0" borderId="28" xfId="15" applyFont="1" applyBorder="1">
      <alignment/>
      <protection/>
    </xf>
    <xf numFmtId="0" fontId="10" fillId="0" borderId="29" xfId="15" applyFont="1" applyBorder="1">
      <alignment/>
      <protection/>
    </xf>
    <xf numFmtId="44" fontId="10" fillId="0" borderId="20" xfId="44" applyFont="1" applyBorder="1" applyAlignment="1">
      <alignment/>
    </xf>
    <xf numFmtId="0" fontId="7" fillId="0" borderId="30" xfId="15" applyFont="1" applyBorder="1" applyAlignment="1">
      <alignment/>
      <protection/>
    </xf>
    <xf numFmtId="0" fontId="0" fillId="0" borderId="31" xfId="15" applyFont="1" applyBorder="1" applyAlignment="1">
      <alignment/>
      <protection/>
    </xf>
    <xf numFmtId="0" fontId="0" fillId="0" borderId="32" xfId="15" applyFont="1" applyBorder="1" applyAlignment="1">
      <alignment/>
      <protection/>
    </xf>
    <xf numFmtId="0" fontId="7" fillId="0" borderId="30" xfId="15" applyFont="1" applyBorder="1" applyAlignment="1">
      <alignment horizontal="center"/>
      <protection/>
    </xf>
    <xf numFmtId="0" fontId="10" fillId="0" borderId="23" xfId="15" applyFont="1" applyBorder="1">
      <alignment/>
      <protection/>
    </xf>
    <xf numFmtId="44" fontId="10" fillId="0" borderId="13" xfId="44" applyFont="1" applyBorder="1" applyAlignment="1">
      <alignment/>
    </xf>
    <xf numFmtId="0" fontId="10" fillId="0" borderId="22" xfId="15" applyFont="1" applyBorder="1">
      <alignment/>
      <protection/>
    </xf>
    <xf numFmtId="44" fontId="10" fillId="0" borderId="15" xfId="44" applyFont="1" applyBorder="1" applyAlignment="1">
      <alignment/>
    </xf>
    <xf numFmtId="0" fontId="7" fillId="0" borderId="33" xfId="15" applyFont="1" applyBorder="1" applyAlignment="1">
      <alignment horizontal="center" vertical="center" wrapText="1"/>
      <protection/>
    </xf>
    <xf numFmtId="0" fontId="7" fillId="0" borderId="33" xfId="15" applyFont="1" applyBorder="1" applyAlignment="1">
      <alignment vertical="center"/>
      <protection/>
    </xf>
    <xf numFmtId="0" fontId="0" fillId="0" borderId="0" xfId="15" applyFont="1" applyBorder="1" applyAlignment="1">
      <alignment vertical="center"/>
      <protection/>
    </xf>
    <xf numFmtId="0" fontId="2" fillId="0" borderId="11" xfId="15" applyFont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0" applyNumberFormat="1" applyAlignment="1">
      <alignment vertical="top" wrapText="1"/>
    </xf>
    <xf numFmtId="44" fontId="0" fillId="0" borderId="34" xfId="0" applyNumberForma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6" fillId="0" borderId="0" xfId="0" applyNumberFormat="1" applyFont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4" fontId="37" fillId="0" borderId="40" xfId="43" applyNumberFormat="1" applyBorder="1" applyAlignment="1" applyProtection="1">
      <alignment horizontal="center" vertical="top" wrapText="1"/>
      <protection/>
    </xf>
    <xf numFmtId="0" fontId="0" fillId="0" borderId="38" xfId="0" applyBorder="1" applyAlignment="1">
      <alignment horizontal="center" vertical="top" wrapText="1"/>
    </xf>
    <xf numFmtId="44" fontId="37" fillId="0" borderId="41" xfId="43" applyNumberFormat="1" applyBorder="1" applyAlignment="1" applyProtection="1">
      <alignment horizontal="center" vertical="top" wrapText="1"/>
      <protection/>
    </xf>
    <xf numFmtId="0" fontId="2" fillId="0" borderId="11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8" fillId="0" borderId="0" xfId="54" applyFont="1" applyFill="1" applyAlignment="1">
      <alignment horizontal="center" vertical="center" wrapText="1"/>
      <protection/>
    </xf>
    <xf numFmtId="0" fontId="12" fillId="0" borderId="0" xfId="54" applyFont="1" applyFill="1" applyAlignment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  <protection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айс от  10.09.2001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13</xdr:col>
      <xdr:colOff>57150</xdr:colOff>
      <xdr:row>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43902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шурупы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13</xdr:col>
      <xdr:colOff>57150</xdr:colOff>
      <xdr:row>5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743902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шурупы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13</xdr:col>
      <xdr:colOff>57150</xdr:colOff>
      <xdr:row>5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7439025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2752725</xdr:colOff>
      <xdr:row>7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52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5;&#1086;&#1074;&#1086;&#1088;\&#1055;&#1088;&#1072;&#1081;&#1089;&#1099;%20&#1086;&#1089;&#1090;&#1072;&#1083;&#1100;&#1085;&#1099;&#1077;\&#1055;&#1088;&#1072;&#1081;&#1089;%20&#1052;&#1072;&#1082;&#1089;&#1080;-&#1056;%2006.0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олока"/>
      <sheetName val="Гвозди"/>
      <sheetName val="Шурупы"/>
      <sheetName val="Прочее"/>
      <sheetName val="Металлопрокат"/>
      <sheetName val="Саморезы"/>
      <sheetName val="Фасовка "/>
      <sheetName val="Шурупы фасовка кор"/>
      <sheetName val="Шурупы блистер"/>
      <sheetName val="Шурупы ПЭ"/>
    </sheetNames>
    <sheetDataSet>
      <sheetData sheetId="6">
        <row r="16">
          <cell r="V16">
            <v>36479.47</v>
          </cell>
        </row>
        <row r="17">
          <cell r="V17">
            <v>36151.81</v>
          </cell>
        </row>
        <row r="18">
          <cell r="V18">
            <v>31163.38</v>
          </cell>
        </row>
        <row r="19">
          <cell r="V19">
            <v>33059.16</v>
          </cell>
        </row>
        <row r="20">
          <cell r="V20">
            <v>30810.51</v>
          </cell>
        </row>
        <row r="21">
          <cell r="V21">
            <v>28923.91</v>
          </cell>
        </row>
        <row r="22">
          <cell r="V22">
            <v>28212.08</v>
          </cell>
        </row>
        <row r="24">
          <cell r="V24">
            <v>27512.5</v>
          </cell>
        </row>
        <row r="25">
          <cell r="V25">
            <v>25848.73</v>
          </cell>
        </row>
        <row r="27">
          <cell r="V27">
            <v>21009.57</v>
          </cell>
        </row>
        <row r="28">
          <cell r="V28">
            <v>20131.53</v>
          </cell>
        </row>
        <row r="29">
          <cell r="V29">
            <v>19546.17</v>
          </cell>
        </row>
        <row r="30">
          <cell r="V30">
            <v>19399.83</v>
          </cell>
        </row>
        <row r="31">
          <cell r="V31">
            <v>19399.83</v>
          </cell>
        </row>
        <row r="32">
          <cell r="V32">
            <v>19253.49</v>
          </cell>
        </row>
        <row r="33">
          <cell r="V33">
            <v>19253.49</v>
          </cell>
        </row>
        <row r="35">
          <cell r="V35">
            <v>24874.51</v>
          </cell>
        </row>
        <row r="37">
          <cell r="V37">
            <v>26576.46</v>
          </cell>
        </row>
        <row r="38">
          <cell r="V38">
            <v>24186.23</v>
          </cell>
        </row>
        <row r="39">
          <cell r="V39">
            <v>23552.09</v>
          </cell>
        </row>
        <row r="41">
          <cell r="V41">
            <v>26709.71</v>
          </cell>
        </row>
        <row r="42">
          <cell r="V42">
            <v>25147.56</v>
          </cell>
        </row>
        <row r="49">
          <cell r="V49">
            <v>26103.57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PageLayoutView="0" workbookViewId="0" topLeftCell="A31">
      <selection activeCell="A48" sqref="A48:AW48"/>
    </sheetView>
  </sheetViews>
  <sheetFormatPr defaultColWidth="9.00390625" defaultRowHeight="12.75"/>
  <cols>
    <col min="1" max="1" width="45.625" style="0" customWidth="1"/>
    <col min="2" max="2" width="17.125" style="0" customWidth="1"/>
    <col min="3" max="3" width="20.75390625" style="0" customWidth="1"/>
    <col min="4" max="4" width="14.125" style="0" customWidth="1"/>
    <col min="5" max="15" width="9.125" style="0" hidden="1" customWidth="1"/>
    <col min="16" max="16" width="18.75390625" style="0" hidden="1" customWidth="1"/>
    <col min="17" max="17" width="9.125" style="0" hidden="1" customWidth="1"/>
    <col min="18" max="18" width="14.625" style="0" hidden="1" customWidth="1"/>
    <col min="19" max="19" width="15.625" style="0" hidden="1" customWidth="1"/>
    <col min="20" max="20" width="0.12890625" style="0" hidden="1" customWidth="1"/>
    <col min="21" max="21" width="13.625" style="0" customWidth="1"/>
    <col min="22" max="22" width="9.125" style="0" hidden="1" customWidth="1"/>
    <col min="23" max="24" width="0.12890625" style="0" hidden="1" customWidth="1"/>
    <col min="25" max="25" width="11.75390625" style="0" hidden="1" customWidth="1"/>
    <col min="26" max="26" width="0.12890625" style="0" hidden="1" customWidth="1"/>
    <col min="27" max="28" width="9.125" style="0" hidden="1" customWidth="1"/>
    <col min="29" max="29" width="12.75390625" style="0" hidden="1" customWidth="1"/>
    <col min="30" max="38" width="9.125" style="0" hidden="1" customWidth="1"/>
    <col min="39" max="39" width="1.875" style="0" hidden="1" customWidth="1"/>
    <col min="40" max="47" width="9.125" style="0" hidden="1" customWidth="1"/>
    <col min="48" max="48" width="13.125" style="0" hidden="1" customWidth="1"/>
    <col min="49" max="49" width="13.875" style="0" customWidth="1"/>
  </cols>
  <sheetData>
    <row r="1" spans="1:49" ht="15" customHeight="1">
      <c r="A1" s="93"/>
      <c r="B1" s="92" t="s">
        <v>28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</row>
    <row r="2" spans="1:49" ht="15" customHeight="1">
      <c r="A2" s="94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</row>
    <row r="3" spans="1:49" ht="15" customHeight="1">
      <c r="A3" s="94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1:49" ht="15" customHeight="1">
      <c r="A4" s="94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</row>
    <row r="5" spans="1:49" ht="15" customHeight="1">
      <c r="A5" s="9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</row>
    <row r="6" spans="1:49" ht="15" customHeight="1">
      <c r="A6" s="94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</row>
    <row r="7" spans="1:49" s="1" customFormat="1" ht="18.75" customHeight="1">
      <c r="A7" s="94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</row>
    <row r="8" spans="1:49" s="1" customFormat="1" ht="18.75" customHeight="1">
      <c r="A8" s="94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</row>
    <row r="9" spans="1:49" s="1" customFormat="1" ht="5.25" customHeight="1" hidden="1">
      <c r="A9" s="9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</row>
    <row r="10" spans="1:49" s="1" customFormat="1" ht="8.25" customHeight="1" thickBot="1">
      <c r="A10" s="9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</row>
    <row r="11" spans="1:49" ht="27.75" customHeight="1" thickBot="1">
      <c r="A11" s="69" t="s">
        <v>29</v>
      </c>
      <c r="B11" s="32"/>
      <c r="C11" s="32"/>
      <c r="D11" s="32"/>
      <c r="E11" s="32"/>
      <c r="F11" s="32"/>
      <c r="G11" s="32"/>
      <c r="H11" s="32"/>
      <c r="I11" s="32"/>
      <c r="J11" s="32"/>
      <c r="K11" s="70"/>
      <c r="L11" s="70"/>
      <c r="M11" s="70"/>
      <c r="N11" s="70"/>
      <c r="O11" s="70"/>
      <c r="P11" s="32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1"/>
    </row>
    <row r="12" spans="1:49" ht="25.5" customHeight="1" thickBot="1">
      <c r="A12" s="4" t="s">
        <v>59</v>
      </c>
      <c r="B12" s="5"/>
      <c r="C12" s="5"/>
      <c r="D12" s="5"/>
      <c r="E12" s="3"/>
      <c r="F12" s="32"/>
      <c r="G12" s="32"/>
      <c r="H12" s="32"/>
      <c r="I12" s="32"/>
      <c r="J12" s="32"/>
      <c r="K12" s="33"/>
      <c r="L12" s="33"/>
      <c r="M12" s="33"/>
      <c r="N12" s="33"/>
      <c r="O12" s="33"/>
      <c r="P12" s="5"/>
      <c r="Q12" s="33"/>
      <c r="R12" s="33"/>
      <c r="S12" s="33"/>
      <c r="T12" s="33"/>
      <c r="U12" s="6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6"/>
    </row>
    <row r="13" spans="1:49" ht="32.25" thickBot="1">
      <c r="A13" s="10" t="s">
        <v>0</v>
      </c>
      <c r="B13" s="66" t="s">
        <v>39</v>
      </c>
      <c r="C13" s="66" t="s">
        <v>40</v>
      </c>
      <c r="D13" s="66" t="s">
        <v>41</v>
      </c>
      <c r="E13" s="67" t="s">
        <v>3</v>
      </c>
      <c r="F13" s="67" t="s">
        <v>3</v>
      </c>
      <c r="G13" s="67" t="s">
        <v>3</v>
      </c>
      <c r="H13" s="67" t="s">
        <v>3</v>
      </c>
      <c r="I13" s="67" t="s">
        <v>3</v>
      </c>
      <c r="J13" s="67" t="s">
        <v>3</v>
      </c>
      <c r="K13" s="67" t="s">
        <v>3</v>
      </c>
      <c r="L13" s="67" t="s">
        <v>3</v>
      </c>
      <c r="M13" s="67" t="s">
        <v>3</v>
      </c>
      <c r="N13" s="67" t="s">
        <v>3</v>
      </c>
      <c r="O13" s="67" t="s">
        <v>3</v>
      </c>
      <c r="P13" s="67" t="s">
        <v>3</v>
      </c>
      <c r="Q13" s="67" t="s">
        <v>3</v>
      </c>
      <c r="R13" s="67" t="s">
        <v>3</v>
      </c>
      <c r="S13" s="67" t="s">
        <v>3</v>
      </c>
      <c r="T13" s="68"/>
      <c r="U13" s="66" t="s">
        <v>42</v>
      </c>
      <c r="AW13" s="66" t="s">
        <v>43</v>
      </c>
    </row>
    <row r="14" spans="1:49" s="2" customFormat="1" ht="39" customHeight="1" thickBot="1">
      <c r="A14" s="30" t="s">
        <v>1</v>
      </c>
      <c r="B14" s="21" t="s">
        <v>2</v>
      </c>
      <c r="C14" s="21" t="s">
        <v>18</v>
      </c>
      <c r="D14" s="21" t="s">
        <v>2</v>
      </c>
      <c r="E14" s="19" t="s">
        <v>2</v>
      </c>
      <c r="F14" s="19" t="s">
        <v>2</v>
      </c>
      <c r="G14" s="19" t="s">
        <v>2</v>
      </c>
      <c r="H14" s="19" t="s">
        <v>2</v>
      </c>
      <c r="I14" s="19" t="s">
        <v>2</v>
      </c>
      <c r="J14" s="19" t="s">
        <v>2</v>
      </c>
      <c r="K14" s="19" t="s">
        <v>2</v>
      </c>
      <c r="L14" s="19" t="s">
        <v>2</v>
      </c>
      <c r="M14" s="19" t="s">
        <v>2</v>
      </c>
      <c r="N14" s="19" t="s">
        <v>2</v>
      </c>
      <c r="O14" s="19" t="s">
        <v>2</v>
      </c>
      <c r="P14" s="19" t="s">
        <v>2</v>
      </c>
      <c r="Q14" s="19" t="s">
        <v>2</v>
      </c>
      <c r="R14" s="19" t="s">
        <v>2</v>
      </c>
      <c r="S14" s="20" t="s">
        <v>2</v>
      </c>
      <c r="T14" s="31"/>
      <c r="U14" s="21" t="s">
        <v>18</v>
      </c>
      <c r="AW14" s="21" t="s">
        <v>18</v>
      </c>
    </row>
    <row r="15" spans="1:49" s="2" customFormat="1" ht="16.5" customHeight="1" thickBot="1">
      <c r="A15" s="44" t="s">
        <v>23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46"/>
    </row>
    <row r="16" spans="1:49" s="2" customFormat="1" ht="15.75">
      <c r="A16" s="43" t="s">
        <v>16</v>
      </c>
      <c r="B16" s="12">
        <f>C16*1.18</f>
        <v>9.8176</v>
      </c>
      <c r="C16" s="12">
        <v>8.32</v>
      </c>
      <c r="D16" s="12">
        <f>B16*54</f>
        <v>530.1504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7">
        <f>S16*0.15/1000</f>
        <v>5.969736</v>
      </c>
      <c r="R16" s="35">
        <v>322.38</v>
      </c>
      <c r="S16" s="35">
        <v>39798.24</v>
      </c>
      <c r="T16" s="12">
        <f aca="true" t="shared" si="0" ref="T16:T33">S16*1.04</f>
        <v>41390.1696</v>
      </c>
      <c r="U16" s="12">
        <f>C16*54</f>
        <v>449.28000000000003</v>
      </c>
      <c r="V16" s="34">
        <v>36479.47</v>
      </c>
      <c r="W16" s="12">
        <f>'[1]Фасовка '!V16*1.01</f>
        <v>36844.2647</v>
      </c>
      <c r="X16" s="12">
        <f aca="true" t="shared" si="1" ref="X16:X25">W16*1.13</f>
        <v>41634.019110999994</v>
      </c>
      <c r="Y16" s="34"/>
      <c r="Z16" s="34"/>
      <c r="AA16" s="34"/>
      <c r="AB16" s="12">
        <f>AC16/1000*0.15</f>
        <v>7.7376824517793485</v>
      </c>
      <c r="AC16" s="12">
        <f aca="true" t="shared" si="2" ref="AC16:AC33">AD16*1.18</f>
        <v>51584.549678528994</v>
      </c>
      <c r="AD16" s="12">
        <f>X16*1.05</f>
        <v>43715.72006655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12">
        <f>C16</f>
        <v>8.32</v>
      </c>
      <c r="AV16" s="12">
        <f>AU16*1000/0.15</f>
        <v>55466.66666666667</v>
      </c>
      <c r="AW16" s="47">
        <v>55500</v>
      </c>
    </row>
    <row r="17" spans="1:49" s="2" customFormat="1" ht="15.75">
      <c r="A17" s="48" t="s">
        <v>19</v>
      </c>
      <c r="B17" s="11">
        <f aca="true" t="shared" si="3" ref="B17:B33">C17*1.18</f>
        <v>9.8176</v>
      </c>
      <c r="C17" s="11">
        <v>8.32</v>
      </c>
      <c r="D17" s="11">
        <f>B17*54</f>
        <v>530.1504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8">
        <f>S17*0.15/1000</f>
        <v>5.916115499999999</v>
      </c>
      <c r="R17" s="17">
        <v>319.68</v>
      </c>
      <c r="S17" s="17">
        <v>39440.77</v>
      </c>
      <c r="T17" s="11">
        <f t="shared" si="0"/>
        <v>41018.400799999996</v>
      </c>
      <c r="U17" s="11">
        <f>C17*54</f>
        <v>449.28000000000003</v>
      </c>
      <c r="V17" s="15">
        <v>36151.81</v>
      </c>
      <c r="W17" s="11">
        <f>'[1]Фасовка '!V17*1.01</f>
        <v>36513.3281</v>
      </c>
      <c r="X17" s="11">
        <f t="shared" si="1"/>
        <v>41260.060753</v>
      </c>
      <c r="Y17" s="15"/>
      <c r="Z17" s="15"/>
      <c r="AA17" s="15"/>
      <c r="AB17" s="11">
        <f>AC17/1000*0.15</f>
        <v>7.668182290945049</v>
      </c>
      <c r="AC17" s="11">
        <f t="shared" si="2"/>
        <v>51121.215272967</v>
      </c>
      <c r="AD17" s="11">
        <f>X17*1.05</f>
        <v>43323.06379065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1">
        <f aca="true" t="shared" si="4" ref="AU17:AU46">C17</f>
        <v>8.32</v>
      </c>
      <c r="AV17" s="11">
        <f>AU17*1000/0.15</f>
        <v>55466.66666666667</v>
      </c>
      <c r="AW17" s="49">
        <v>53667</v>
      </c>
    </row>
    <row r="18" spans="1:49" s="2" customFormat="1" ht="15.75">
      <c r="A18" s="48" t="s">
        <v>6</v>
      </c>
      <c r="B18" s="11">
        <f t="shared" si="3"/>
        <v>22.8566</v>
      </c>
      <c r="C18" s="11">
        <v>19.37</v>
      </c>
      <c r="D18" s="11">
        <f>B18*30</f>
        <v>685.698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7">
        <f>S18*0.3/1000</f>
        <v>10.199553</v>
      </c>
      <c r="R18" s="17">
        <v>306</v>
      </c>
      <c r="S18" s="17">
        <v>33998.51</v>
      </c>
      <c r="T18" s="11">
        <f t="shared" si="0"/>
        <v>35358.4504</v>
      </c>
      <c r="U18" s="11">
        <f aca="true" t="shared" si="5" ref="U18:U26">C18*30</f>
        <v>581.1</v>
      </c>
      <c r="V18" s="15">
        <v>31163.38</v>
      </c>
      <c r="W18" s="11">
        <f>'[1]Фасовка '!V18*1.01</f>
        <v>31475.0138</v>
      </c>
      <c r="X18" s="11">
        <f t="shared" si="1"/>
        <v>35566.765594</v>
      </c>
      <c r="Y18" s="11">
        <f aca="true" t="shared" si="6" ref="Y18:Y33">X18*1.05</f>
        <v>37345.1038737</v>
      </c>
      <c r="Z18" s="15"/>
      <c r="AA18" s="15"/>
      <c r="AB18" s="11">
        <f aca="true" t="shared" si="7" ref="AB18:AB25">AC18/1000*0.3</f>
        <v>13.881175109854288</v>
      </c>
      <c r="AC18" s="11">
        <f t="shared" si="2"/>
        <v>46270.583699514296</v>
      </c>
      <c r="AD18" s="11">
        <f aca="true" t="shared" si="8" ref="AD18:AD33">Y18*1.05</f>
        <v>39212.359067385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1">
        <f t="shared" si="4"/>
        <v>19.37</v>
      </c>
      <c r="AV18" s="11">
        <f>AU18*1000/0.3</f>
        <v>64566.66666666667</v>
      </c>
      <c r="AW18" s="49">
        <v>64591</v>
      </c>
    </row>
    <row r="19" spans="1:49" s="2" customFormat="1" ht="15.75">
      <c r="A19" s="41" t="s">
        <v>4</v>
      </c>
      <c r="B19" s="11">
        <f t="shared" si="3"/>
        <v>22.3374</v>
      </c>
      <c r="C19" s="11">
        <v>18.93</v>
      </c>
      <c r="D19" s="11">
        <f aca="true" t="shared" si="9" ref="D19:D26">B19*30</f>
        <v>670.122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v>30565.05</v>
      </c>
      <c r="Q19" s="8">
        <v>10.82</v>
      </c>
      <c r="R19" s="8">
        <f>Q19*30</f>
        <v>324.6</v>
      </c>
      <c r="S19" s="8">
        <f>P19*1.18</f>
        <v>36066.759</v>
      </c>
      <c r="T19" s="11">
        <f t="shared" si="0"/>
        <v>37509.42936</v>
      </c>
      <c r="U19" s="11">
        <f t="shared" si="5"/>
        <v>567.9</v>
      </c>
      <c r="V19" s="15">
        <v>33059.16</v>
      </c>
      <c r="W19" s="11">
        <f>'[1]Фасовка '!V19*1.01</f>
        <v>33389.7516</v>
      </c>
      <c r="X19" s="11">
        <f t="shared" si="1"/>
        <v>37730.419308</v>
      </c>
      <c r="Y19" s="11">
        <f t="shared" si="6"/>
        <v>39616.940273399996</v>
      </c>
      <c r="Z19" s="15"/>
      <c r="AA19" s="15"/>
      <c r="AB19" s="11">
        <f t="shared" si="7"/>
        <v>14.725616699622778</v>
      </c>
      <c r="AC19" s="11">
        <f t="shared" si="2"/>
        <v>49085.388998742594</v>
      </c>
      <c r="AD19" s="11">
        <f t="shared" si="8"/>
        <v>41597.787287069994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1">
        <f t="shared" si="4"/>
        <v>18.93</v>
      </c>
      <c r="AV19" s="11">
        <f aca="true" t="shared" si="10" ref="AV19:AV25">AU19*1000/0.3</f>
        <v>63100</v>
      </c>
      <c r="AW19" s="49">
        <v>63098</v>
      </c>
    </row>
    <row r="20" spans="1:49" s="2" customFormat="1" ht="15.75">
      <c r="A20" s="41" t="s">
        <v>5</v>
      </c>
      <c r="B20" s="11">
        <f t="shared" si="3"/>
        <v>21.7474</v>
      </c>
      <c r="C20" s="11">
        <v>18.43</v>
      </c>
      <c r="D20" s="11">
        <f t="shared" si="9"/>
        <v>652.422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v>28486.05</v>
      </c>
      <c r="Q20" s="8">
        <v>10.08</v>
      </c>
      <c r="R20" s="8">
        <f>Q20*30</f>
        <v>302.4</v>
      </c>
      <c r="S20" s="8">
        <f>P20*1.18</f>
        <v>33613.539</v>
      </c>
      <c r="T20" s="11">
        <f t="shared" si="0"/>
        <v>34958.080559999995</v>
      </c>
      <c r="U20" s="11">
        <f t="shared" si="5"/>
        <v>552.9</v>
      </c>
      <c r="V20" s="15">
        <v>30810.51</v>
      </c>
      <c r="W20" s="11">
        <f>'[1]Фасовка '!V20*1.01</f>
        <v>31118.6151</v>
      </c>
      <c r="X20" s="11">
        <f t="shared" si="1"/>
        <v>35164.035062999996</v>
      </c>
      <c r="Y20" s="11">
        <f t="shared" si="6"/>
        <v>36922.23681615</v>
      </c>
      <c r="Z20" s="15"/>
      <c r="AA20" s="15"/>
      <c r="AB20" s="11">
        <f t="shared" si="7"/>
        <v>13.723995424562954</v>
      </c>
      <c r="AC20" s="11">
        <f t="shared" si="2"/>
        <v>45746.651415209846</v>
      </c>
      <c r="AD20" s="11">
        <f t="shared" si="8"/>
        <v>38768.348656957496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1">
        <f t="shared" si="4"/>
        <v>18.43</v>
      </c>
      <c r="AV20" s="11">
        <f t="shared" si="10"/>
        <v>61433.333333333336</v>
      </c>
      <c r="AW20" s="49">
        <v>61435</v>
      </c>
    </row>
    <row r="21" spans="1:49" s="2" customFormat="1" ht="15.75">
      <c r="A21" s="41" t="s">
        <v>17</v>
      </c>
      <c r="B21" s="11">
        <f t="shared" si="3"/>
        <v>19.647</v>
      </c>
      <c r="C21" s="11">
        <v>16.65</v>
      </c>
      <c r="D21" s="11">
        <f t="shared" si="9"/>
        <v>589.41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7">
        <f>S21*0.3/1000</f>
        <v>9.139296</v>
      </c>
      <c r="R21" s="17">
        <v>274.2</v>
      </c>
      <c r="S21" s="17">
        <v>30464.32</v>
      </c>
      <c r="T21" s="11">
        <f t="shared" si="0"/>
        <v>31682.8928</v>
      </c>
      <c r="U21" s="11">
        <f t="shared" si="5"/>
        <v>499.49999999999994</v>
      </c>
      <c r="V21" s="15">
        <v>28923.91</v>
      </c>
      <c r="W21" s="11">
        <f>'[1]Фасовка '!V21*1.01</f>
        <v>29213.1491</v>
      </c>
      <c r="X21" s="11">
        <f t="shared" si="1"/>
        <v>33010.858482999996</v>
      </c>
      <c r="Y21" s="11">
        <f t="shared" si="6"/>
        <v>34661.40140715</v>
      </c>
      <c r="Z21" s="15"/>
      <c r="AA21" s="15"/>
      <c r="AB21" s="11">
        <f t="shared" si="7"/>
        <v>12.883642903037652</v>
      </c>
      <c r="AC21" s="11">
        <f t="shared" si="2"/>
        <v>42945.476343458846</v>
      </c>
      <c r="AD21" s="11">
        <f t="shared" si="8"/>
        <v>36394.4714775075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1">
        <f t="shared" si="4"/>
        <v>16.65</v>
      </c>
      <c r="AV21" s="11">
        <f t="shared" si="10"/>
        <v>55500</v>
      </c>
      <c r="AW21" s="49">
        <v>55500</v>
      </c>
    </row>
    <row r="22" spans="1:49" s="2" customFormat="1" ht="15.75">
      <c r="A22" s="41" t="s">
        <v>22</v>
      </c>
      <c r="B22" s="11">
        <f t="shared" si="3"/>
        <v>19.647</v>
      </c>
      <c r="C22" s="11">
        <v>16.65</v>
      </c>
      <c r="D22" s="11">
        <f t="shared" si="9"/>
        <v>589.41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7">
        <f>S22*0.3/1000</f>
        <v>9.139296</v>
      </c>
      <c r="R22" s="17">
        <v>274.2</v>
      </c>
      <c r="S22" s="17">
        <v>30464.32</v>
      </c>
      <c r="T22" s="11">
        <f t="shared" si="0"/>
        <v>31682.8928</v>
      </c>
      <c r="U22" s="11">
        <f t="shared" si="5"/>
        <v>499.49999999999994</v>
      </c>
      <c r="V22" s="15">
        <v>28923.91</v>
      </c>
      <c r="W22" s="11">
        <v>29213.15</v>
      </c>
      <c r="X22" s="11">
        <f t="shared" si="1"/>
        <v>33010.8595</v>
      </c>
      <c r="Y22" s="11">
        <f t="shared" si="6"/>
        <v>34661.402475</v>
      </c>
      <c r="Z22" s="15"/>
      <c r="AA22" s="15"/>
      <c r="AB22" s="11">
        <f t="shared" si="7"/>
        <v>12.8836432999575</v>
      </c>
      <c r="AC22" s="11">
        <f t="shared" si="2"/>
        <v>42945.477666525</v>
      </c>
      <c r="AD22" s="11">
        <f t="shared" si="8"/>
        <v>36394.472598750006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1">
        <f t="shared" si="4"/>
        <v>16.65</v>
      </c>
      <c r="AV22" s="11">
        <f t="shared" si="10"/>
        <v>55500</v>
      </c>
      <c r="AW22" s="49">
        <v>55500</v>
      </c>
    </row>
    <row r="23" spans="1:49" s="2" customFormat="1" ht="15.75">
      <c r="A23" s="41" t="s">
        <v>7</v>
      </c>
      <c r="B23" s="11">
        <f t="shared" si="3"/>
        <v>18.998</v>
      </c>
      <c r="C23" s="11">
        <v>16.1</v>
      </c>
      <c r="D23" s="11">
        <f t="shared" si="9"/>
        <v>569.94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v>26083.65</v>
      </c>
      <c r="Q23" s="8">
        <v>9.23</v>
      </c>
      <c r="R23" s="8">
        <f>Q23*30</f>
        <v>276.90000000000003</v>
      </c>
      <c r="S23" s="8">
        <f>P23*1.18</f>
        <v>30778.707</v>
      </c>
      <c r="T23" s="11">
        <f t="shared" si="0"/>
        <v>32009.85528</v>
      </c>
      <c r="U23" s="11">
        <f t="shared" si="5"/>
        <v>483.00000000000006</v>
      </c>
      <c r="V23" s="15">
        <v>28212.08</v>
      </c>
      <c r="W23" s="11">
        <f>'[1]Фасовка '!V22*1.01</f>
        <v>28494.200800000002</v>
      </c>
      <c r="X23" s="11">
        <f t="shared" si="1"/>
        <v>32198.446904</v>
      </c>
      <c r="Y23" s="11">
        <f t="shared" si="6"/>
        <v>33808.369249200005</v>
      </c>
      <c r="Z23" s="15"/>
      <c r="AA23" s="15"/>
      <c r="AB23" s="11">
        <f t="shared" si="7"/>
        <v>12.566570849927642</v>
      </c>
      <c r="AC23" s="11">
        <f t="shared" si="2"/>
        <v>41888.56949975881</v>
      </c>
      <c r="AD23" s="11">
        <f t="shared" si="8"/>
        <v>35498.78771166001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1">
        <f t="shared" si="4"/>
        <v>16.1</v>
      </c>
      <c r="AV23" s="11">
        <f t="shared" si="10"/>
        <v>53666.66666666667</v>
      </c>
      <c r="AW23" s="49">
        <v>53667</v>
      </c>
    </row>
    <row r="24" spans="1:49" s="2" customFormat="1" ht="15.75">
      <c r="A24" s="41" t="s">
        <v>21</v>
      </c>
      <c r="B24" s="11">
        <f t="shared" si="3"/>
        <v>18.998</v>
      </c>
      <c r="C24" s="11">
        <v>16.1</v>
      </c>
      <c r="D24" s="11">
        <f t="shared" si="9"/>
        <v>569.94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>
        <v>26083.65</v>
      </c>
      <c r="Q24" s="17">
        <f>S24*0.3/1000</f>
        <v>8.865236999999999</v>
      </c>
      <c r="R24" s="17">
        <v>266.1</v>
      </c>
      <c r="S24" s="8">
        <v>29550.79</v>
      </c>
      <c r="T24" s="11">
        <f t="shared" si="0"/>
        <v>30732.821600000003</v>
      </c>
      <c r="U24" s="11">
        <f t="shared" si="5"/>
        <v>483.00000000000006</v>
      </c>
      <c r="V24" s="15">
        <v>27086.55</v>
      </c>
      <c r="W24" s="11">
        <v>28494.2</v>
      </c>
      <c r="X24" s="11">
        <f t="shared" si="1"/>
        <v>32198.445999999996</v>
      </c>
      <c r="Y24" s="11">
        <f t="shared" si="6"/>
        <v>33808.368299999995</v>
      </c>
      <c r="Z24" s="15"/>
      <c r="AA24" s="15"/>
      <c r="AB24" s="11">
        <f t="shared" si="7"/>
        <v>12.566570497109998</v>
      </c>
      <c r="AC24" s="11">
        <f t="shared" si="2"/>
        <v>41888.56832369999</v>
      </c>
      <c r="AD24" s="11">
        <f t="shared" si="8"/>
        <v>35498.786714999995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1">
        <f t="shared" si="4"/>
        <v>16.1</v>
      </c>
      <c r="AV24" s="11">
        <f t="shared" si="10"/>
        <v>53666.66666666667</v>
      </c>
      <c r="AW24" s="49">
        <v>53667</v>
      </c>
    </row>
    <row r="25" spans="1:49" s="2" customFormat="1" ht="16.5" thickBot="1">
      <c r="A25" s="40" t="s">
        <v>8</v>
      </c>
      <c r="B25" s="13">
        <f t="shared" si="3"/>
        <v>17.2988</v>
      </c>
      <c r="C25" s="13">
        <v>14.66</v>
      </c>
      <c r="D25" s="13">
        <f t="shared" si="9"/>
        <v>518.9639999999999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38">
        <v>25436.85</v>
      </c>
      <c r="Q25" s="9">
        <v>9</v>
      </c>
      <c r="R25" s="9">
        <f>Q25*30</f>
        <v>270</v>
      </c>
      <c r="S25" s="9">
        <f>P25*1.18</f>
        <v>30015.482999999997</v>
      </c>
      <c r="T25" s="13">
        <f t="shared" si="0"/>
        <v>31216.102319999998</v>
      </c>
      <c r="U25" s="13">
        <f t="shared" si="5"/>
        <v>439.8</v>
      </c>
      <c r="V25" s="50">
        <v>27512.5</v>
      </c>
      <c r="W25" s="13">
        <f>'[1]Фасовка '!V24*1.01</f>
        <v>27787.625</v>
      </c>
      <c r="X25" s="13">
        <f t="shared" si="1"/>
        <v>31400.016249999997</v>
      </c>
      <c r="Y25" s="13">
        <f t="shared" si="6"/>
        <v>32970.017062499996</v>
      </c>
      <c r="Z25" s="22"/>
      <c r="AA25" s="22"/>
      <c r="AB25" s="13">
        <f t="shared" si="7"/>
        <v>12.254955342131245</v>
      </c>
      <c r="AC25" s="13">
        <f t="shared" si="2"/>
        <v>40849.85114043749</v>
      </c>
      <c r="AD25" s="13">
        <f t="shared" si="8"/>
        <v>34618.517915624994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13">
        <f t="shared" si="4"/>
        <v>14.66</v>
      </c>
      <c r="AV25" s="13">
        <f t="shared" si="10"/>
        <v>48866.66666666667</v>
      </c>
      <c r="AW25" s="51">
        <v>48885</v>
      </c>
    </row>
    <row r="26" spans="1:49" s="2" customFormat="1" ht="16.5" thickBot="1">
      <c r="A26" s="29" t="s">
        <v>20</v>
      </c>
      <c r="B26" s="14">
        <f t="shared" si="3"/>
        <v>25.381800000000002</v>
      </c>
      <c r="C26" s="14">
        <v>21.51</v>
      </c>
      <c r="D26" s="14">
        <f t="shared" si="9"/>
        <v>761.4540000000001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9">
        <f>S26*0.5/1000</f>
        <v>10.679219999999999</v>
      </c>
      <c r="R26" s="52">
        <v>320.4</v>
      </c>
      <c r="S26" s="29">
        <v>21358.44</v>
      </c>
      <c r="T26" s="14">
        <f t="shared" si="0"/>
        <v>22212.777599999998</v>
      </c>
      <c r="U26" s="14">
        <f t="shared" si="5"/>
        <v>645.3000000000001</v>
      </c>
      <c r="V26" s="27">
        <v>19577.36</v>
      </c>
      <c r="W26" s="14">
        <f>'[1]Фасовка '!V25*1.01</f>
        <v>26107.2173</v>
      </c>
      <c r="X26" s="14">
        <v>24380</v>
      </c>
      <c r="Y26" s="14">
        <f t="shared" si="6"/>
        <v>25599</v>
      </c>
      <c r="Z26" s="27"/>
      <c r="AA26" s="27"/>
      <c r="AB26" s="14">
        <f>AC26/1000*0.5</f>
        <v>15.8585805</v>
      </c>
      <c r="AC26" s="14">
        <f t="shared" si="2"/>
        <v>31717.161</v>
      </c>
      <c r="AD26" s="14">
        <f t="shared" si="8"/>
        <v>26878.95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14">
        <f t="shared" si="4"/>
        <v>21.51</v>
      </c>
      <c r="AV26" s="14">
        <f>AU26*1000/0.5</f>
        <v>43020</v>
      </c>
      <c r="AW26" s="27">
        <v>43000</v>
      </c>
    </row>
    <row r="27" spans="1:49" s="2" customFormat="1" ht="15.75">
      <c r="A27" s="43" t="s">
        <v>9</v>
      </c>
      <c r="B27" s="12">
        <f t="shared" si="3"/>
        <v>50.62199999999999</v>
      </c>
      <c r="C27" s="12">
        <v>42.9</v>
      </c>
      <c r="D27" s="12">
        <f>B27*15</f>
        <v>759.3299999999999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2">
        <v>19424.53</v>
      </c>
      <c r="Q27" s="7">
        <v>22.92</v>
      </c>
      <c r="R27" s="7">
        <f aca="true" t="shared" si="11" ref="R27:R33">Q27*15</f>
        <v>343.8</v>
      </c>
      <c r="S27" s="7">
        <f aca="true" t="shared" si="12" ref="S27:S32">P27*1.18</f>
        <v>22920.945399999997</v>
      </c>
      <c r="T27" s="12">
        <f t="shared" si="0"/>
        <v>23837.783215999996</v>
      </c>
      <c r="U27" s="12">
        <f>C27*15</f>
        <v>643.5</v>
      </c>
      <c r="V27" s="34">
        <v>21009.57</v>
      </c>
      <c r="W27" s="12">
        <f>'[1]Фасовка '!V27*1.01</f>
        <v>21219.6657</v>
      </c>
      <c r="X27" s="12">
        <f aca="true" t="shared" si="13" ref="X27:X33">W27*1.13</f>
        <v>23978.222241</v>
      </c>
      <c r="Y27" s="12">
        <f t="shared" si="6"/>
        <v>25177.13335305</v>
      </c>
      <c r="Z27" s="34"/>
      <c r="AA27" s="34"/>
      <c r="AB27" s="12">
        <f aca="true" t="shared" si="14" ref="AB27:AB33">AC27/1000</f>
        <v>31.194468224428952</v>
      </c>
      <c r="AC27" s="12">
        <f t="shared" si="2"/>
        <v>31194.46822442895</v>
      </c>
      <c r="AD27" s="12">
        <f t="shared" si="8"/>
        <v>26435.990020702502</v>
      </c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12">
        <f t="shared" si="4"/>
        <v>42.9</v>
      </c>
      <c r="AV27" s="12">
        <f>AU27*1000</f>
        <v>42900</v>
      </c>
      <c r="AW27" s="47">
        <v>42900</v>
      </c>
    </row>
    <row r="28" spans="1:49" s="2" customFormat="1" ht="15.75">
      <c r="A28" s="41" t="s">
        <v>10</v>
      </c>
      <c r="B28" s="11">
        <f t="shared" si="3"/>
        <v>48.2384</v>
      </c>
      <c r="C28" s="11">
        <v>40.88</v>
      </c>
      <c r="D28" s="11">
        <f aca="true" t="shared" si="15" ref="D28:D33">B28*15</f>
        <v>723.576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>
        <v>18612.73</v>
      </c>
      <c r="Q28" s="8">
        <v>21.96</v>
      </c>
      <c r="R28" s="8">
        <f t="shared" si="11"/>
        <v>329.40000000000003</v>
      </c>
      <c r="S28" s="8">
        <f t="shared" si="12"/>
        <v>21963.021399999998</v>
      </c>
      <c r="T28" s="11">
        <f t="shared" si="0"/>
        <v>22841.542255999997</v>
      </c>
      <c r="U28" s="11">
        <f>C28*15</f>
        <v>613.2</v>
      </c>
      <c r="V28" s="15">
        <v>20131.53</v>
      </c>
      <c r="W28" s="11">
        <f>'[1]Фасовка '!V28*1.01</f>
        <v>20332.845299999997</v>
      </c>
      <c r="X28" s="11">
        <f t="shared" si="13"/>
        <v>22976.115188999996</v>
      </c>
      <c r="Y28" s="11">
        <f t="shared" si="6"/>
        <v>24124.92094845</v>
      </c>
      <c r="Z28" s="15"/>
      <c r="AA28" s="15"/>
      <c r="AB28" s="11">
        <f t="shared" si="14"/>
        <v>29.890777055129547</v>
      </c>
      <c r="AC28" s="11">
        <f t="shared" si="2"/>
        <v>29890.777055129547</v>
      </c>
      <c r="AD28" s="11">
        <f t="shared" si="8"/>
        <v>25331.1669958725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1">
        <f t="shared" si="4"/>
        <v>40.88</v>
      </c>
      <c r="AV28" s="11">
        <f aca="true" t="shared" si="16" ref="AV28:AV33">AU28*1000</f>
        <v>40880</v>
      </c>
      <c r="AW28" s="49">
        <v>40880</v>
      </c>
    </row>
    <row r="29" spans="1:49" s="2" customFormat="1" ht="15.75">
      <c r="A29" s="41" t="s">
        <v>11</v>
      </c>
      <c r="B29" s="11">
        <f t="shared" si="3"/>
        <v>47.306200000000004</v>
      </c>
      <c r="C29" s="11">
        <v>40.09</v>
      </c>
      <c r="D29" s="11">
        <f t="shared" si="15"/>
        <v>709.5930000000001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>
        <v>18071.53</v>
      </c>
      <c r="Q29" s="8">
        <v>21.32</v>
      </c>
      <c r="R29" s="8">
        <f t="shared" si="11"/>
        <v>319.8</v>
      </c>
      <c r="S29" s="8">
        <f t="shared" si="12"/>
        <v>21324.405399999996</v>
      </c>
      <c r="T29" s="11">
        <f t="shared" si="0"/>
        <v>22177.381615999995</v>
      </c>
      <c r="U29" s="11">
        <f>C29*15</f>
        <v>601.35</v>
      </c>
      <c r="V29" s="15">
        <v>19546.17</v>
      </c>
      <c r="W29" s="11">
        <f>'[1]Фасовка '!V29*1.01</f>
        <v>19741.631699999998</v>
      </c>
      <c r="X29" s="11">
        <f t="shared" si="13"/>
        <v>22308.043820999996</v>
      </c>
      <c r="Y29" s="11">
        <f t="shared" si="6"/>
        <v>23423.446012049997</v>
      </c>
      <c r="Z29" s="15"/>
      <c r="AA29" s="15"/>
      <c r="AB29" s="11">
        <f t="shared" si="14"/>
        <v>29.02164960892995</v>
      </c>
      <c r="AC29" s="11">
        <f t="shared" si="2"/>
        <v>29021.649608929947</v>
      </c>
      <c r="AD29" s="11">
        <f t="shared" si="8"/>
        <v>24594.6183126525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1">
        <f t="shared" si="4"/>
        <v>40.09</v>
      </c>
      <c r="AV29" s="11">
        <f t="shared" si="16"/>
        <v>40090</v>
      </c>
      <c r="AW29" s="49">
        <v>40090</v>
      </c>
    </row>
    <row r="30" spans="1:49" s="2" customFormat="1" ht="15.75">
      <c r="A30" s="41" t="s">
        <v>14</v>
      </c>
      <c r="B30" s="11">
        <f t="shared" si="3"/>
        <v>46.728</v>
      </c>
      <c r="C30" s="11">
        <v>39.6</v>
      </c>
      <c r="D30" s="11">
        <f t="shared" si="15"/>
        <v>700.9200000000001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>
        <v>17936.23</v>
      </c>
      <c r="Q30" s="8">
        <v>21.16</v>
      </c>
      <c r="R30" s="8">
        <f t="shared" si="11"/>
        <v>317.4</v>
      </c>
      <c r="S30" s="8">
        <f t="shared" si="12"/>
        <v>21164.751399999997</v>
      </c>
      <c r="T30" s="11">
        <f t="shared" si="0"/>
        <v>22011.341456</v>
      </c>
      <c r="U30" s="11">
        <f>C30*15</f>
        <v>594</v>
      </c>
      <c r="V30" s="15">
        <v>19399.83</v>
      </c>
      <c r="W30" s="11">
        <f>'[1]Фасовка '!V30*1.01</f>
        <v>19593.8283</v>
      </c>
      <c r="X30" s="11">
        <f t="shared" si="13"/>
        <v>22141.025979</v>
      </c>
      <c r="Y30" s="11">
        <f t="shared" si="6"/>
        <v>23248.07727795</v>
      </c>
      <c r="Z30" s="15"/>
      <c r="AA30" s="15"/>
      <c r="AB30" s="11">
        <f t="shared" si="14"/>
        <v>28.80436774738005</v>
      </c>
      <c r="AC30" s="11">
        <f t="shared" si="2"/>
        <v>28804.36774738005</v>
      </c>
      <c r="AD30" s="11">
        <f t="shared" si="8"/>
        <v>24410.4811418475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1">
        <f t="shared" si="4"/>
        <v>39.6</v>
      </c>
      <c r="AV30" s="11">
        <f t="shared" si="16"/>
        <v>39600</v>
      </c>
      <c r="AW30" s="49">
        <v>39600</v>
      </c>
    </row>
    <row r="31" spans="1:49" s="2" customFormat="1" ht="15.75">
      <c r="A31" s="41" t="s">
        <v>15</v>
      </c>
      <c r="B31" s="11">
        <f t="shared" si="3"/>
        <v>46.728</v>
      </c>
      <c r="C31" s="11">
        <v>39.6</v>
      </c>
      <c r="D31" s="11">
        <f>B31*18</f>
        <v>841.104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>
        <v>17936.23</v>
      </c>
      <c r="Q31" s="8">
        <v>21.16</v>
      </c>
      <c r="R31" s="8">
        <f t="shared" si="11"/>
        <v>317.4</v>
      </c>
      <c r="S31" s="8">
        <f t="shared" si="12"/>
        <v>21164.751399999997</v>
      </c>
      <c r="T31" s="11">
        <f t="shared" si="0"/>
        <v>22011.341456</v>
      </c>
      <c r="U31" s="11">
        <f>C31*18</f>
        <v>712.8000000000001</v>
      </c>
      <c r="V31" s="15">
        <v>19399.83</v>
      </c>
      <c r="W31" s="11">
        <f>'[1]Фасовка '!V31*1.01</f>
        <v>19593.8283</v>
      </c>
      <c r="X31" s="11">
        <f t="shared" si="13"/>
        <v>22141.025979</v>
      </c>
      <c r="Y31" s="11">
        <f t="shared" si="6"/>
        <v>23248.07727795</v>
      </c>
      <c r="Z31" s="15"/>
      <c r="AA31" s="15"/>
      <c r="AB31" s="11">
        <f t="shared" si="14"/>
        <v>28.80436774738005</v>
      </c>
      <c r="AC31" s="11">
        <f t="shared" si="2"/>
        <v>28804.36774738005</v>
      </c>
      <c r="AD31" s="11">
        <f t="shared" si="8"/>
        <v>24410.4811418475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1">
        <f t="shared" si="4"/>
        <v>39.6</v>
      </c>
      <c r="AV31" s="11">
        <f t="shared" si="16"/>
        <v>39600</v>
      </c>
      <c r="AW31" s="49">
        <v>39600</v>
      </c>
    </row>
    <row r="32" spans="1:49" s="2" customFormat="1" ht="15.75">
      <c r="A32" s="41" t="s">
        <v>12</v>
      </c>
      <c r="B32" s="11">
        <f t="shared" si="3"/>
        <v>46.551</v>
      </c>
      <c r="C32" s="11">
        <v>39.45</v>
      </c>
      <c r="D32" s="11">
        <f t="shared" si="15"/>
        <v>698.265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>
        <v>17800.93</v>
      </c>
      <c r="Q32" s="8">
        <v>21.05</v>
      </c>
      <c r="R32" s="8">
        <f t="shared" si="11"/>
        <v>315.75</v>
      </c>
      <c r="S32" s="8">
        <f t="shared" si="12"/>
        <v>21005.0974</v>
      </c>
      <c r="T32" s="11">
        <f t="shared" si="0"/>
        <v>21845.301295999998</v>
      </c>
      <c r="U32" s="11">
        <f>C32*15</f>
        <v>591.75</v>
      </c>
      <c r="V32" s="15">
        <v>19253.49</v>
      </c>
      <c r="W32" s="11">
        <f>'[1]Фасовка '!V32*1.01</f>
        <v>19446.0249</v>
      </c>
      <c r="X32" s="11">
        <f t="shared" si="13"/>
        <v>21974.008136999997</v>
      </c>
      <c r="Y32" s="11">
        <f t="shared" si="6"/>
        <v>23072.708543849996</v>
      </c>
      <c r="Z32" s="15"/>
      <c r="AA32" s="15"/>
      <c r="AB32" s="11">
        <f t="shared" si="14"/>
        <v>28.58708588583014</v>
      </c>
      <c r="AC32" s="11">
        <f t="shared" si="2"/>
        <v>28587.085885830144</v>
      </c>
      <c r="AD32" s="11">
        <f t="shared" si="8"/>
        <v>24226.343971042497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1">
        <f t="shared" si="4"/>
        <v>39.45</v>
      </c>
      <c r="AV32" s="11">
        <f t="shared" si="16"/>
        <v>39450</v>
      </c>
      <c r="AW32" s="49">
        <v>39450</v>
      </c>
    </row>
    <row r="33" spans="1:49" s="2" customFormat="1" ht="16.5" thickBot="1">
      <c r="A33" s="40" t="s">
        <v>13</v>
      </c>
      <c r="B33" s="13">
        <f t="shared" si="3"/>
        <v>46.551</v>
      </c>
      <c r="C33" s="13">
        <v>39.45</v>
      </c>
      <c r="D33" s="13">
        <f t="shared" si="15"/>
        <v>698.265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38"/>
      <c r="Q33" s="9">
        <v>21.05</v>
      </c>
      <c r="R33" s="9">
        <f t="shared" si="11"/>
        <v>315.75</v>
      </c>
      <c r="S33" s="9">
        <v>21005.1</v>
      </c>
      <c r="T33" s="13">
        <f t="shared" si="0"/>
        <v>21845.304</v>
      </c>
      <c r="U33" s="13">
        <f>C33*15</f>
        <v>591.75</v>
      </c>
      <c r="V33" s="22">
        <v>19253.49</v>
      </c>
      <c r="W33" s="13">
        <f>'[1]Фасовка '!V33*1.01</f>
        <v>19446.0249</v>
      </c>
      <c r="X33" s="13">
        <f t="shared" si="13"/>
        <v>21974.008136999997</v>
      </c>
      <c r="Y33" s="13">
        <f t="shared" si="6"/>
        <v>23072.708543849996</v>
      </c>
      <c r="Z33" s="22"/>
      <c r="AA33" s="22"/>
      <c r="AB33" s="13">
        <f t="shared" si="14"/>
        <v>28.58708588583014</v>
      </c>
      <c r="AC33" s="13">
        <f t="shared" si="2"/>
        <v>28587.085885830144</v>
      </c>
      <c r="AD33" s="13">
        <f t="shared" si="8"/>
        <v>24226.343971042497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13">
        <f t="shared" si="4"/>
        <v>39.45</v>
      </c>
      <c r="AV33" s="13">
        <f t="shared" si="16"/>
        <v>39450</v>
      </c>
      <c r="AW33" s="51">
        <v>39450</v>
      </c>
    </row>
    <row r="34" spans="1:49" s="2" customFormat="1" ht="16.5" thickBot="1">
      <c r="A34" s="44" t="s">
        <v>24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53"/>
      <c r="V34" s="24"/>
      <c r="W34" s="5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3"/>
      <c r="AV34" s="23">
        <f>AU34*1000/0.15</f>
        <v>0</v>
      </c>
      <c r="AW34" s="55"/>
    </row>
    <row r="35" spans="1:49" s="2" customFormat="1" ht="16.5" thickBot="1">
      <c r="A35" s="56" t="s">
        <v>32</v>
      </c>
      <c r="B35" s="23">
        <f>C35*1.18</f>
        <v>53.53659999999999</v>
      </c>
      <c r="C35" s="23">
        <v>45.37</v>
      </c>
      <c r="D35" s="23">
        <f>B35*18</f>
        <v>963.6587999999999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>
        <f>C35*18</f>
        <v>816.66</v>
      </c>
      <c r="V35" s="24">
        <v>24874.51</v>
      </c>
      <c r="W35" s="23">
        <f>'[1]Фасовка '!V35*1.01</f>
        <v>25123.2551</v>
      </c>
      <c r="X35" s="23">
        <f>W35*1.13</f>
        <v>28389.278262999997</v>
      </c>
      <c r="Y35" s="24"/>
      <c r="Z35" s="23">
        <f>X35*1.05</f>
        <v>29808.742176149997</v>
      </c>
      <c r="AA35" s="24"/>
      <c r="AB35" s="23">
        <f>AC35/1000*0.8</f>
        <v>29.54642524499988</v>
      </c>
      <c r="AC35" s="23">
        <f>AT35*1.18</f>
        <v>36933.03155624985</v>
      </c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5">
        <v>22997.88</v>
      </c>
      <c r="AP35" s="26">
        <v>21.71</v>
      </c>
      <c r="AQ35" s="57">
        <f>AP35*18</f>
        <v>390.78000000000003</v>
      </c>
      <c r="AR35" s="57">
        <f>AO35*1.18</f>
        <v>27137.4984</v>
      </c>
      <c r="AS35" s="23">
        <f>AR35*1.04</f>
        <v>28222.998336</v>
      </c>
      <c r="AT35" s="23">
        <f>Z35*1.05</f>
        <v>31299.1792849575</v>
      </c>
      <c r="AU35" s="23">
        <f t="shared" si="4"/>
        <v>45.37</v>
      </c>
      <c r="AV35" s="23">
        <f>AU35*1000/0.8</f>
        <v>56712.5</v>
      </c>
      <c r="AW35" s="55">
        <v>56574</v>
      </c>
    </row>
    <row r="36" spans="1:49" s="2" customFormat="1" ht="16.5" thickBot="1">
      <c r="A36" s="61" t="s">
        <v>25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60"/>
      <c r="V36" s="27"/>
      <c r="W36" s="3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14"/>
      <c r="AV36" s="14">
        <f>AU36*1000/0.15</f>
        <v>0</v>
      </c>
      <c r="AW36" s="27"/>
    </row>
    <row r="37" spans="1:49" s="2" customFormat="1" ht="16.5" thickBot="1">
      <c r="A37" s="56" t="s">
        <v>33</v>
      </c>
      <c r="B37" s="23">
        <f>C37*1.18</f>
        <v>53.53659999999999</v>
      </c>
      <c r="C37" s="23">
        <v>45.37</v>
      </c>
      <c r="D37" s="23">
        <f>B37*15</f>
        <v>803.0489999999999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>
        <f>C37*15</f>
        <v>680.55</v>
      </c>
      <c r="V37" s="24">
        <v>24874.51</v>
      </c>
      <c r="W37" s="23">
        <f>'[1]Фасовка '!V37*1.01</f>
        <v>26842.224599999998</v>
      </c>
      <c r="X37" s="23">
        <v>27762.68</v>
      </c>
      <c r="Y37" s="24"/>
      <c r="Z37" s="24"/>
      <c r="AA37" s="23">
        <f>X37*1.05</f>
        <v>29150.814000000002</v>
      </c>
      <c r="AB37" s="23">
        <f>AC37/1000*0.8</f>
        <v>28.894286836800003</v>
      </c>
      <c r="AC37" s="23">
        <f>AT37*1.18</f>
        <v>36117.858546</v>
      </c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5">
        <v>22997.88</v>
      </c>
      <c r="AP37" s="26">
        <v>21.71</v>
      </c>
      <c r="AQ37" s="57">
        <f>AP37*18</f>
        <v>390.78000000000003</v>
      </c>
      <c r="AR37" s="57">
        <f>AO37*1.18</f>
        <v>27137.4984</v>
      </c>
      <c r="AS37" s="23">
        <f>AR37*1.04</f>
        <v>28222.998336</v>
      </c>
      <c r="AT37" s="23">
        <f>AA37*1.05</f>
        <v>30608.354700000004</v>
      </c>
      <c r="AU37" s="23">
        <f t="shared" si="4"/>
        <v>45.37</v>
      </c>
      <c r="AV37" s="23">
        <f>AU37*1000/0.8</f>
        <v>56712.5</v>
      </c>
      <c r="AW37" s="55">
        <v>56720</v>
      </c>
    </row>
    <row r="38" spans="1:49" s="2" customFormat="1" ht="16.5" thickBot="1">
      <c r="A38" s="58" t="s">
        <v>26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27"/>
      <c r="W38" s="3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14"/>
      <c r="AV38" s="14">
        <f>AU38*1000/0.15</f>
        <v>0</v>
      </c>
      <c r="AW38" s="27"/>
    </row>
    <row r="39" spans="1:49" s="2" customFormat="1" ht="14.25">
      <c r="A39" s="62" t="s">
        <v>34</v>
      </c>
      <c r="B39" s="12">
        <f>C39*1.18</f>
        <v>17.8534</v>
      </c>
      <c r="C39" s="12">
        <v>15.13</v>
      </c>
      <c r="D39" s="12">
        <f>B39*30</f>
        <v>535.602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12">
        <f>C39*30</f>
        <v>453.90000000000003</v>
      </c>
      <c r="V39" s="34">
        <v>26576.46</v>
      </c>
      <c r="W39" s="12">
        <f>'[1]Фасовка '!V37*1.01</f>
        <v>26842.224599999998</v>
      </c>
      <c r="X39" s="12">
        <f>W39*1.13</f>
        <v>30331.713797999993</v>
      </c>
      <c r="Y39" s="34"/>
      <c r="Z39" s="34"/>
      <c r="AA39" s="12">
        <f>X39*1.05</f>
        <v>31848.299487899996</v>
      </c>
      <c r="AB39" s="12">
        <f>AC39/1000*0.4</f>
        <v>15.784017226203241</v>
      </c>
      <c r="AC39" s="12">
        <f>AT39*1.18</f>
        <v>39460.0430655081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42">
        <v>24571.43</v>
      </c>
      <c r="AP39" s="63">
        <v>11.6</v>
      </c>
      <c r="AQ39" s="63">
        <f>AP39*30</f>
        <v>348</v>
      </c>
      <c r="AR39" s="63">
        <f>AO39*1.18</f>
        <v>28994.287399999997</v>
      </c>
      <c r="AS39" s="12">
        <f>AR39*1.04</f>
        <v>30154.058896</v>
      </c>
      <c r="AT39" s="12">
        <f>AA39*1.05</f>
        <v>33440.714462295</v>
      </c>
      <c r="AU39" s="12">
        <f t="shared" si="4"/>
        <v>15.13</v>
      </c>
      <c r="AV39" s="12">
        <f>AU39*1000/0.4</f>
        <v>37825</v>
      </c>
      <c r="AW39" s="47">
        <v>50433</v>
      </c>
    </row>
    <row r="40" spans="1:49" s="2" customFormat="1" ht="14.25">
      <c r="A40" s="39" t="s">
        <v>35</v>
      </c>
      <c r="B40" s="11">
        <f>C40*1.18</f>
        <v>17.8888</v>
      </c>
      <c r="C40" s="11">
        <v>15.16</v>
      </c>
      <c r="D40" s="11">
        <f>B40*30</f>
        <v>536.664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1">
        <f>C40*30</f>
        <v>454.8</v>
      </c>
      <c r="V40" s="15">
        <v>24186.23</v>
      </c>
      <c r="W40" s="11">
        <f>'[1]Фасовка '!V38*1.01</f>
        <v>24428.0923</v>
      </c>
      <c r="X40" s="11">
        <f>W40*1.13</f>
        <v>27603.744298999998</v>
      </c>
      <c r="Y40" s="15"/>
      <c r="Z40" s="15"/>
      <c r="AA40" s="11">
        <f>X40*1.05</f>
        <v>28983.93151395</v>
      </c>
      <c r="AB40" s="11">
        <f>AC40/1000*0.4</f>
        <v>14.36443645831362</v>
      </c>
      <c r="AC40" s="11">
        <f>AT40*1.18</f>
        <v>35911.09114578405</v>
      </c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6">
        <v>22361.53</v>
      </c>
      <c r="AP40" s="18">
        <v>10.55</v>
      </c>
      <c r="AQ40" s="18">
        <f>AP40*30</f>
        <v>316.5</v>
      </c>
      <c r="AR40" s="18">
        <f>AO40*1.18</f>
        <v>26386.605399999997</v>
      </c>
      <c r="AS40" s="11">
        <f>AR40*1.04</f>
        <v>27442.069615999997</v>
      </c>
      <c r="AT40" s="11">
        <f>AA40*1.05</f>
        <v>30433.1280896475</v>
      </c>
      <c r="AU40" s="11">
        <f t="shared" si="4"/>
        <v>15.16</v>
      </c>
      <c r="AV40" s="11">
        <f>AU40*1000/0.4</f>
        <v>37900</v>
      </c>
      <c r="AW40" s="49">
        <v>45000</v>
      </c>
    </row>
    <row r="41" spans="1:49" s="2" customFormat="1" ht="15" thickBot="1">
      <c r="A41" s="64" t="s">
        <v>36</v>
      </c>
      <c r="B41" s="13">
        <f>C41*1.18</f>
        <v>17.8888</v>
      </c>
      <c r="C41" s="13">
        <v>15.16</v>
      </c>
      <c r="D41" s="13">
        <f>B41*30</f>
        <v>536.664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3">
        <f>C41*30</f>
        <v>454.8</v>
      </c>
      <c r="V41" s="22">
        <v>23552.09</v>
      </c>
      <c r="W41" s="13">
        <f>'[1]Фасовка '!V39*1.01</f>
        <v>23787.6109</v>
      </c>
      <c r="X41" s="13">
        <f>W41*1.13</f>
        <v>26880.000316999998</v>
      </c>
      <c r="Y41" s="22"/>
      <c r="Z41" s="22"/>
      <c r="AA41" s="13">
        <f>X41*1.05</f>
        <v>28224.00033285</v>
      </c>
      <c r="AB41" s="13">
        <f>AC41/1000*0.4</f>
        <v>13.987814564960459</v>
      </c>
      <c r="AC41" s="13">
        <f>AT41*1.18</f>
        <v>34969.53641240115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38">
        <v>21775.23</v>
      </c>
      <c r="AP41" s="65">
        <v>10.28</v>
      </c>
      <c r="AQ41" s="65">
        <f>AP41*30</f>
        <v>308.4</v>
      </c>
      <c r="AR41" s="65">
        <f>AO41*1.18</f>
        <v>25694.771399999998</v>
      </c>
      <c r="AS41" s="13">
        <f>AR41*1.04</f>
        <v>26722.562255999997</v>
      </c>
      <c r="AT41" s="13">
        <f>AA41*1.05</f>
        <v>29635.2003494925</v>
      </c>
      <c r="AU41" s="13">
        <f t="shared" si="4"/>
        <v>15.16</v>
      </c>
      <c r="AV41" s="13">
        <f>AU41*1000/0.4</f>
        <v>37900</v>
      </c>
      <c r="AW41" s="51">
        <v>50533</v>
      </c>
    </row>
    <row r="42" spans="1:49" s="2" customFormat="1" ht="16.5" thickBot="1">
      <c r="A42" s="58" t="s">
        <v>27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27"/>
      <c r="W42" s="36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14"/>
      <c r="AV42" s="14">
        <f>AU42*1000/0.15</f>
        <v>0</v>
      </c>
      <c r="AW42" s="27"/>
    </row>
    <row r="43" spans="1:49" s="2" customFormat="1" ht="14.25">
      <c r="A43" s="62" t="s">
        <v>37</v>
      </c>
      <c r="B43" s="12">
        <f>C43*1.18</f>
        <v>42.952</v>
      </c>
      <c r="C43" s="12">
        <v>36.4</v>
      </c>
      <c r="D43" s="12">
        <f>B43*30</f>
        <v>1288.56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12">
        <f>C43*30</f>
        <v>1092</v>
      </c>
      <c r="V43" s="34">
        <v>26709.71</v>
      </c>
      <c r="W43" s="12">
        <f>'[1]Фасовка '!V41*1.01</f>
        <v>26976.807099999998</v>
      </c>
      <c r="X43" s="12">
        <f>W43*1.13</f>
        <v>30483.792022999995</v>
      </c>
      <c r="Y43" s="34"/>
      <c r="Z43" s="34"/>
      <c r="AA43" s="34"/>
      <c r="AB43" s="12">
        <f>AC43/1000*0.5</f>
        <v>18.884709158248494</v>
      </c>
      <c r="AC43" s="12">
        <f>AT43*1.18</f>
        <v>37769.41831649699</v>
      </c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42">
        <v>24694.63</v>
      </c>
      <c r="AP43" s="63">
        <v>14.57</v>
      </c>
      <c r="AQ43" s="63">
        <f>AP43*30</f>
        <v>437.1</v>
      </c>
      <c r="AR43" s="63">
        <f>AO43*1.18</f>
        <v>29139.6634</v>
      </c>
      <c r="AS43" s="12">
        <f>AR43*1.04</f>
        <v>30305.249936000004</v>
      </c>
      <c r="AT43" s="12">
        <f>X43*1.05</f>
        <v>32007.981624149994</v>
      </c>
      <c r="AU43" s="12">
        <f t="shared" si="4"/>
        <v>36.4</v>
      </c>
      <c r="AV43" s="12">
        <f>AU43*1000/0.5</f>
        <v>72800</v>
      </c>
      <c r="AW43" s="47">
        <v>72803</v>
      </c>
    </row>
    <row r="44" spans="1:49" s="2" customFormat="1" ht="15" thickBot="1">
      <c r="A44" s="64" t="s">
        <v>38</v>
      </c>
      <c r="B44" s="13">
        <f>C44*1.18</f>
        <v>42.952</v>
      </c>
      <c r="C44" s="13">
        <v>36.4</v>
      </c>
      <c r="D44" s="13">
        <f>B44*30</f>
        <v>1288.56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13">
        <f>C44*30</f>
        <v>1092</v>
      </c>
      <c r="V44" s="22">
        <v>25147.56</v>
      </c>
      <c r="W44" s="13">
        <f>'[1]Фасовка '!V42*1.01</f>
        <v>25399.035600000003</v>
      </c>
      <c r="X44" s="13">
        <f>W44*1.13</f>
        <v>28700.910228</v>
      </c>
      <c r="Y44" s="22"/>
      <c r="Z44" s="22"/>
      <c r="AA44" s="22"/>
      <c r="AB44" s="13">
        <f>AC44/1000*0.5</f>
        <v>17.780213886246</v>
      </c>
      <c r="AC44" s="13">
        <f>AT44*1.18</f>
        <v>35560.427772491996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38">
        <v>23250.33</v>
      </c>
      <c r="AP44" s="65">
        <v>13.72</v>
      </c>
      <c r="AQ44" s="65">
        <f>AP44*30</f>
        <v>411.6</v>
      </c>
      <c r="AR44" s="65">
        <f>AO44*1.18</f>
        <v>27435.3894</v>
      </c>
      <c r="AS44" s="13">
        <f>AR44*1.04</f>
        <v>28532.804976</v>
      </c>
      <c r="AT44" s="13">
        <f>X44*1.05</f>
        <v>30135.9557394</v>
      </c>
      <c r="AU44" s="13">
        <f t="shared" si="4"/>
        <v>36.4</v>
      </c>
      <c r="AV44" s="13">
        <f>AU44*1000/0.5</f>
        <v>72800</v>
      </c>
      <c r="AW44" s="51">
        <v>72803</v>
      </c>
    </row>
    <row r="45" spans="1:49" ht="16.5" thickBot="1">
      <c r="A45" s="58" t="s">
        <v>30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  <c r="V45" s="27"/>
      <c r="W45" s="3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14"/>
      <c r="AV45" s="14">
        <f>AU45*1000/0.15</f>
        <v>0</v>
      </c>
      <c r="AW45" s="27"/>
    </row>
    <row r="46" spans="1:49" s="2" customFormat="1" ht="16.5" thickBot="1">
      <c r="A46" s="62" t="s">
        <v>31</v>
      </c>
      <c r="B46" s="12">
        <f>C46*1.18</f>
        <v>45.842999999999996</v>
      </c>
      <c r="C46" s="12">
        <v>38.85</v>
      </c>
      <c r="D46" s="12">
        <f>B46*150</f>
        <v>6876.45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12">
        <f>C46*150</f>
        <v>5827.5</v>
      </c>
      <c r="V46" s="34">
        <v>26103.57</v>
      </c>
      <c r="W46" s="12">
        <f>'[1]Фасовка '!V49*1.01</f>
        <v>26364.6057</v>
      </c>
      <c r="X46" s="34"/>
      <c r="Y46" s="34"/>
      <c r="Z46" s="34"/>
      <c r="AA46" s="34"/>
      <c r="AB46" s="12">
        <f>AC46/1000*0.1</f>
        <v>3.5154565240379996</v>
      </c>
      <c r="AC46" s="12">
        <f>AT46*1.18</f>
        <v>35154.56524038</v>
      </c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42"/>
      <c r="AP46" s="7">
        <f>AR46*0.1/1000</f>
        <v>2.8478380000000003</v>
      </c>
      <c r="AQ46" s="7">
        <v>427.5</v>
      </c>
      <c r="AR46" s="7">
        <v>28478.38</v>
      </c>
      <c r="AS46" s="12">
        <f>AR46*1.04</f>
        <v>29617.5152</v>
      </c>
      <c r="AT46" s="12">
        <f>W46*1.13</f>
        <v>29792.004440999997</v>
      </c>
      <c r="AU46" s="12">
        <f t="shared" si="4"/>
        <v>38.85</v>
      </c>
      <c r="AV46" s="12">
        <f>AU46*1000/0.1</f>
        <v>388500</v>
      </c>
      <c r="AW46" s="47">
        <v>77726.2</v>
      </c>
    </row>
    <row r="47" spans="1:49" s="2" customFormat="1" ht="19.5" thickBot="1">
      <c r="A47" s="89" t="s">
        <v>58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1"/>
    </row>
    <row r="48" spans="1:49" s="2" customFormat="1" ht="19.5" thickBot="1">
      <c r="A48" s="89" t="s">
        <v>60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1"/>
    </row>
    <row r="49" spans="1:49" s="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</sheetData>
  <sheetProtection/>
  <mergeCells count="4">
    <mergeCell ref="A48:AW48"/>
    <mergeCell ref="A47:AW47"/>
    <mergeCell ref="B1:AW10"/>
    <mergeCell ref="A1:A10"/>
  </mergeCells>
  <printOptions/>
  <pageMargins left="0.5905511811023623" right="0" top="0" bottom="0" header="0.83" footer="0.5118110236220472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72" t="s">
        <v>44</v>
      </c>
      <c r="C1" s="73"/>
      <c r="D1" s="81"/>
      <c r="E1" s="81"/>
    </row>
    <row r="2" spans="2:5" ht="12.75">
      <c r="B2" s="72" t="s">
        <v>45</v>
      </c>
      <c r="C2" s="73"/>
      <c r="D2" s="81"/>
      <c r="E2" s="81"/>
    </row>
    <row r="3" spans="2:5" ht="12.75">
      <c r="B3" s="74"/>
      <c r="C3" s="74"/>
      <c r="D3" s="82"/>
      <c r="E3" s="82"/>
    </row>
    <row r="4" spans="2:5" ht="38.25">
      <c r="B4" s="75" t="s">
        <v>46</v>
      </c>
      <c r="C4" s="74"/>
      <c r="D4" s="82"/>
      <c r="E4" s="82"/>
    </row>
    <row r="5" spans="2:5" ht="12.75">
      <c r="B5" s="74"/>
      <c r="C5" s="74"/>
      <c r="D5" s="82"/>
      <c r="E5" s="82"/>
    </row>
    <row r="6" spans="2:5" ht="25.5">
      <c r="B6" s="72" t="s">
        <v>47</v>
      </c>
      <c r="C6" s="73"/>
      <c r="D6" s="81"/>
      <c r="E6" s="83" t="s">
        <v>48</v>
      </c>
    </row>
    <row r="7" spans="2:5" ht="13.5" thickBot="1">
      <c r="B7" s="74"/>
      <c r="C7" s="74"/>
      <c r="D7" s="82"/>
      <c r="E7" s="82"/>
    </row>
    <row r="8" spans="2:5" ht="51">
      <c r="B8" s="76" t="s">
        <v>49</v>
      </c>
      <c r="C8" s="77"/>
      <c r="D8" s="84"/>
      <c r="E8" s="85">
        <v>24</v>
      </c>
    </row>
    <row r="9" spans="2:5" ht="38.25">
      <c r="B9" s="78"/>
      <c r="C9" s="74"/>
      <c r="D9" s="82"/>
      <c r="E9" s="86" t="s">
        <v>50</v>
      </c>
    </row>
    <row r="10" spans="2:5" ht="25.5">
      <c r="B10" s="78"/>
      <c r="C10" s="74"/>
      <c r="D10" s="82"/>
      <c r="E10" s="86" t="s">
        <v>51</v>
      </c>
    </row>
    <row r="11" spans="2:5" ht="38.25">
      <c r="B11" s="78"/>
      <c r="C11" s="74"/>
      <c r="D11" s="82"/>
      <c r="E11" s="86" t="s">
        <v>52</v>
      </c>
    </row>
    <row r="12" spans="2:5" ht="25.5">
      <c r="B12" s="78"/>
      <c r="C12" s="74"/>
      <c r="D12" s="82"/>
      <c r="E12" s="86" t="s">
        <v>53</v>
      </c>
    </row>
    <row r="13" spans="2:5" ht="25.5">
      <c r="B13" s="78"/>
      <c r="C13" s="74"/>
      <c r="D13" s="82"/>
      <c r="E13" s="86" t="s">
        <v>54</v>
      </c>
    </row>
    <row r="14" spans="2:5" ht="38.25">
      <c r="B14" s="78"/>
      <c r="C14" s="74"/>
      <c r="D14" s="82"/>
      <c r="E14" s="86" t="s">
        <v>55</v>
      </c>
    </row>
    <row r="15" spans="2:5" ht="38.25">
      <c r="B15" s="78"/>
      <c r="C15" s="74"/>
      <c r="D15" s="82"/>
      <c r="E15" s="86" t="s">
        <v>56</v>
      </c>
    </row>
    <row r="16" spans="2:5" ht="26.25" thickBot="1">
      <c r="B16" s="79"/>
      <c r="C16" s="80"/>
      <c r="D16" s="87"/>
      <c r="E16" s="88" t="s">
        <v>57</v>
      </c>
    </row>
    <row r="17" spans="2:5" ht="12.75">
      <c r="B17" s="74"/>
      <c r="C17" s="74"/>
      <c r="D17" s="82"/>
      <c r="E17" s="82"/>
    </row>
  </sheetData>
  <sheetProtection/>
  <hyperlinks>
    <hyperlink ref="E9" location="'Фасовка '!R[7]C[18]:R[12]C[18]" display="'Фасовка '!R[7]C[18]:R[12]C[18]"/>
    <hyperlink ref="E10" location="'Фасовка '!R[13]C[18]" display="'Фасовка '!R[13]C[18]"/>
    <hyperlink ref="E11" location="'Фасовка '!R[14]C[18]:R[22]C[18]" display="'Фасовка '!R[14]C[18]:R[22]C[18]"/>
    <hyperlink ref="E12" location="'Фасовка '!R[23]C[18]" display="'Фасовка '!R[23]C[18]"/>
    <hyperlink ref="E13" location="'Фасовка '!R[24]C[18]" display="'Фасовка '!R[24]C[18]"/>
    <hyperlink ref="E14" location="'Фасовка '!R[25]C[18]:R[27]C[18]" display="'Фасовка '!R[25]C[18]:R[27]C[18]"/>
    <hyperlink ref="E15" location="'Фасовка '!R[28]C[18]:R[29]C[18]" display="'Фасовка '!R[28]C[18]:R[29]C[18]"/>
    <hyperlink ref="E16" location="'Фасовка '!R[30]C[18]" display="'Фасовка '!R[30]C[18]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Ognetova</dc:creator>
  <cp:keywords/>
  <dc:description/>
  <cp:lastModifiedBy>BLACKEDITION</cp:lastModifiedBy>
  <cp:lastPrinted>2009-07-01T09:00:40Z</cp:lastPrinted>
  <dcterms:created xsi:type="dcterms:W3CDTF">2002-06-28T09:54:09Z</dcterms:created>
  <dcterms:modified xsi:type="dcterms:W3CDTF">2010-06-09T11:02:34Z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